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035" windowHeight="8625"/>
  </bookViews>
  <sheets>
    <sheet name="OBRIGAÇÕES" sheetId="2" r:id="rId1"/>
  </sheets>
  <calcPr calcId="145621"/>
</workbook>
</file>

<file path=xl/calcChain.xml><?xml version="1.0" encoding="utf-8"?>
<calcChain xmlns="http://schemas.openxmlformats.org/spreadsheetml/2006/main">
  <c r="B53" i="2" l="1"/>
  <c r="A42" i="2"/>
  <c r="A43" i="2" s="1"/>
  <c r="A44" i="2" s="1"/>
  <c r="A39" i="2"/>
  <c r="A41" i="2" s="1"/>
  <c r="D19" i="2"/>
  <c r="D26" i="2" s="1"/>
  <c r="D9" i="2" l="1"/>
  <c r="M5" i="2" l="1"/>
  <c r="G16" i="2" s="1"/>
  <c r="G9" i="2"/>
  <c r="G49" i="2" l="1"/>
  <c r="G37" i="2"/>
  <c r="G29" i="2"/>
  <c r="G30" i="2" s="1"/>
  <c r="G23" i="2"/>
  <c r="G19" i="2"/>
  <c r="G26" i="2" s="1"/>
  <c r="G21" i="2"/>
  <c r="G18" i="2"/>
  <c r="G39" i="2" l="1"/>
  <c r="G44" i="2" s="1"/>
  <c r="G24" i="2"/>
  <c r="G38" i="2" s="1"/>
  <c r="G31" i="2"/>
  <c r="G45" i="2" l="1"/>
  <c r="G32" i="2"/>
  <c r="G33" i="2"/>
  <c r="G40" i="2"/>
  <c r="G34" i="2" l="1"/>
  <c r="G46" i="2" s="1"/>
  <c r="G43" i="2" l="1"/>
  <c r="G47" i="2"/>
  <c r="E29" i="2" l="1"/>
  <c r="L5" i="2" l="1"/>
  <c r="F16" i="2" s="1"/>
  <c r="F21" i="2" s="1"/>
  <c r="F49" i="2"/>
  <c r="F37" i="2"/>
  <c r="F29" i="2"/>
  <c r="F23" i="2"/>
  <c r="F19" i="2"/>
  <c r="F26" i="2" s="1"/>
  <c r="F9" i="2"/>
  <c r="F18" i="2" s="1"/>
  <c r="F39" i="2" s="1"/>
  <c r="J5" i="2"/>
  <c r="F31" i="2" l="1"/>
  <c r="F32" i="2" s="1"/>
  <c r="F30" i="2"/>
  <c r="F24" i="2"/>
  <c r="F38" i="2" s="1"/>
  <c r="F40" i="2" s="1"/>
  <c r="E30" i="2"/>
  <c r="D29" i="2"/>
  <c r="E23" i="2"/>
  <c r="E19" i="2"/>
  <c r="F33" i="2" l="1"/>
  <c r="F34" i="2" s="1"/>
  <c r="D30" i="2"/>
  <c r="D25" i="2" s="1"/>
  <c r="E33" i="2"/>
  <c r="E31" i="2"/>
  <c r="F44" i="2"/>
  <c r="F45" i="2"/>
  <c r="D23" i="2"/>
  <c r="D37" i="2"/>
  <c r="E37" i="2"/>
  <c r="K5" i="2"/>
  <c r="E16" i="2" s="1"/>
  <c r="E21" i="2" s="1"/>
  <c r="E49" i="2"/>
  <c r="E9" i="2"/>
  <c r="E18" i="2" s="1"/>
  <c r="E24" i="2" s="1"/>
  <c r="D49" i="2"/>
  <c r="D16" i="2"/>
  <c r="D21" i="2" s="1"/>
  <c r="D34" i="2" s="1"/>
  <c r="E32" i="2" l="1"/>
  <c r="E34" i="2" s="1"/>
  <c r="E26" i="2"/>
  <c r="E38" i="2" s="1"/>
  <c r="E45" i="2" s="1"/>
  <c r="E39" i="2"/>
  <c r="E44" i="2" s="1"/>
  <c r="E40" i="2" l="1"/>
  <c r="F43" i="2"/>
  <c r="F47" i="2"/>
  <c r="F46" i="2"/>
  <c r="D31" i="2"/>
  <c r="E46" i="2" l="1"/>
  <c r="E47" i="2"/>
  <c r="E43" i="2" l="1"/>
  <c r="D18" i="2"/>
  <c r="D39" i="2" s="1"/>
  <c r="D44" i="2" s="1"/>
  <c r="D24" i="2" l="1"/>
  <c r="D38" i="2" s="1"/>
  <c r="D40" i="2" s="1"/>
  <c r="D45" i="2" l="1"/>
  <c r="D46" i="2"/>
  <c r="D47" i="2"/>
  <c r="D43" i="2"/>
</calcChain>
</file>

<file path=xl/sharedStrings.xml><?xml version="1.0" encoding="utf-8"?>
<sst xmlns="http://schemas.openxmlformats.org/spreadsheetml/2006/main" count="42" uniqueCount="42">
  <si>
    <t>Obrigação</t>
  </si>
  <si>
    <t>Data de Compra</t>
  </si>
  <si>
    <t>Data do último cupão</t>
  </si>
  <si>
    <t>Data do próximo cupão</t>
  </si>
  <si>
    <t>Data maturidade</t>
  </si>
  <si>
    <t>Número de cupões</t>
  </si>
  <si>
    <t>Juros Iliquidos Corridos</t>
  </si>
  <si>
    <t>Valor Nominal</t>
  </si>
  <si>
    <t>Quantidade</t>
  </si>
  <si>
    <t>Preço de Compra</t>
  </si>
  <si>
    <t>Cupão</t>
  </si>
  <si>
    <t>Comissão de Compra</t>
  </si>
  <si>
    <t>Comissão de Reembolso</t>
  </si>
  <si>
    <t>IRS Recebido</t>
  </si>
  <si>
    <t>Mais Valia de Compra Iliquida</t>
  </si>
  <si>
    <t>Imposto de Selo Compra</t>
  </si>
  <si>
    <t>Imposto de Selo Venda</t>
  </si>
  <si>
    <t>Cupões Iliquido</t>
  </si>
  <si>
    <t xml:space="preserve">IRS Pago </t>
  </si>
  <si>
    <t>Cupões</t>
  </si>
  <si>
    <t>Comissão de Cupão</t>
  </si>
  <si>
    <t>Imposto sobre cupão (IRS e SELO)</t>
  </si>
  <si>
    <t>Cupões a receber</t>
  </si>
  <si>
    <t xml:space="preserve">Cupões Liquido </t>
  </si>
  <si>
    <t>Mais Valia Líquida</t>
  </si>
  <si>
    <t>Mais Valia</t>
  </si>
  <si>
    <t xml:space="preserve">Comissão de Compra &amp; Venda </t>
  </si>
  <si>
    <t>Imposto de Mais Valia e SELO</t>
  </si>
  <si>
    <t>Total Rendimento Líquido</t>
  </si>
  <si>
    <t>Total de Comissões</t>
  </si>
  <si>
    <t>Total de Impostos</t>
  </si>
  <si>
    <t>YTM Líquida de Comissões</t>
  </si>
  <si>
    <t>YTM Liquida de Comissões e Impostos</t>
  </si>
  <si>
    <t>TOTAL</t>
  </si>
  <si>
    <t>Anos até à maturidade</t>
  </si>
  <si>
    <t>Valor Compra</t>
  </si>
  <si>
    <t>BRISA</t>
  </si>
  <si>
    <t>EDP</t>
  </si>
  <si>
    <t>Cupão 1º Líquido</t>
  </si>
  <si>
    <t>OT´s 2012</t>
  </si>
  <si>
    <t>OT´s 2013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</si>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</sst>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0"/>
      <name val="Arial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Fill="1" applyBorder="1"/>
    <xf numFmtId="164" fontId="0" fillId="7" borderId="0" xfId="0" applyNumberFormat="1" applyFill="1"/>
    <xf numFmtId="0" fontId="0" fillId="7" borderId="0" xfId="0" applyFill="1"/>
    <xf numFmtId="4" fontId="0" fillId="7" borderId="0" xfId="0" applyNumberFormat="1" applyFill="1"/>
    <xf numFmtId="0" fontId="0" fillId="0" borderId="0" xfId="0" applyFill="1" applyAlignment="1"/>
    <xf numFmtId="0" fontId="2" fillId="0" borderId="1" xfId="0" applyFont="1" applyBorder="1"/>
    <xf numFmtId="164" fontId="0" fillId="0" borderId="1" xfId="0" applyNumberFormat="1" applyBorder="1"/>
    <xf numFmtId="0" fontId="2" fillId="0" borderId="1" xfId="0" applyFont="1" applyFill="1" applyBorder="1"/>
    <xf numFmtId="0" fontId="2" fillId="6" borderId="1" xfId="0" applyFont="1" applyFill="1" applyBorder="1"/>
    <xf numFmtId="164" fontId="0" fillId="6" borderId="1" xfId="0" applyNumberFormat="1" applyFill="1" applyBorder="1"/>
    <xf numFmtId="10" fontId="0" fillId="7" borderId="1" xfId="0" applyNumberFormat="1" applyFill="1" applyBorder="1"/>
    <xf numFmtId="2" fontId="0" fillId="0" borderId="1" xfId="0" applyNumberFormat="1" applyBorder="1"/>
    <xf numFmtId="0" fontId="0" fillId="0" borderId="0" xfId="0" applyNumberFormat="1" applyFill="1" applyBorder="1"/>
    <xf numFmtId="0" fontId="0" fillId="0" borderId="1" xfId="0" applyBorder="1"/>
    <xf numFmtId="164" fontId="0" fillId="5" borderId="1" xfId="0" applyNumberFormat="1" applyFill="1" applyBorder="1"/>
    <xf numFmtId="4" fontId="0" fillId="5" borderId="1" xfId="0" applyNumberFormat="1" applyFill="1" applyBorder="1"/>
    <xf numFmtId="10" fontId="0" fillId="5" borderId="1" xfId="0" applyNumberFormat="1" applyFill="1" applyBorder="1"/>
    <xf numFmtId="14" fontId="0" fillId="5" borderId="1" xfId="0" applyNumberFormat="1" applyFill="1" applyBorder="1"/>
    <xf numFmtId="0" fontId="0" fillId="5" borderId="1" xfId="0" applyNumberFormat="1" applyFill="1" applyBorder="1"/>
    <xf numFmtId="164" fontId="0" fillId="2" borderId="1" xfId="0" applyNumberFormat="1" applyFill="1" applyBorder="1"/>
    <xf numFmtId="4" fontId="0" fillId="3" borderId="1" xfId="0" applyNumberFormat="1" applyFill="1" applyBorder="1"/>
    <xf numFmtId="4" fontId="0" fillId="2" borderId="1" xfId="0" applyNumberFormat="1" applyFill="1" applyBorder="1"/>
    <xf numFmtId="164" fontId="0" fillId="7" borderId="1" xfId="0" applyNumberFormat="1" applyFill="1" applyBorder="1"/>
    <xf numFmtId="10" fontId="0" fillId="6" borderId="1" xfId="0" applyNumberFormat="1" applyFill="1" applyBorder="1"/>
    <xf numFmtId="0" fontId="2" fillId="4" borderId="0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3"/>
  <sheetViews>
    <sheetView tabSelected="1" topLeftCell="A29" workbookViewId="0">
      <selection activeCell="E46" sqref="E46"/>
    </sheetView>
  </sheetViews>
  <sheetFormatPr defaultRowHeight="12.75" x14ac:dyDescent="0.2"/>
  <cols>
    <col min="1" max="1" width="17.7109375" bestFit="1" customWidth="1"/>
    <col min="3" max="3" width="35.28515625" bestFit="1" customWidth="1"/>
    <col min="4" max="4" width="11.7109375" bestFit="1" customWidth="1"/>
    <col min="5" max="5" width="15.42578125" bestFit="1" customWidth="1"/>
    <col min="6" max="6" width="14.42578125" bestFit="1" customWidth="1"/>
    <col min="7" max="7" width="11.7109375" bestFit="1" customWidth="1"/>
  </cols>
  <sheetData>
    <row r="3" spans="3:13" ht="13.5" thickBot="1" x14ac:dyDescent="0.25"/>
    <row r="4" spans="3:13" ht="13.5" thickBot="1" x14ac:dyDescent="0.25">
      <c r="C4" s="17" t="s">
        <v>0</v>
      </c>
      <c r="D4" s="29" t="s">
        <v>39</v>
      </c>
      <c r="E4" s="30" t="s">
        <v>36</v>
      </c>
      <c r="F4" s="30" t="s">
        <v>37</v>
      </c>
      <c r="G4" s="30" t="s">
        <v>40</v>
      </c>
    </row>
    <row r="5" spans="3:13" ht="13.5" thickBot="1" x14ac:dyDescent="0.25">
      <c r="C5" s="17" t="s">
        <v>7</v>
      </c>
      <c r="D5" s="18">
        <v>0.01</v>
      </c>
      <c r="E5" s="18">
        <v>1000</v>
      </c>
      <c r="F5" s="18">
        <v>1000</v>
      </c>
      <c r="G5" s="18">
        <v>0.01</v>
      </c>
      <c r="J5">
        <f>D10-D11</f>
        <v>83</v>
      </c>
      <c r="K5">
        <f>E10-E11</f>
        <v>133</v>
      </c>
      <c r="L5">
        <f>F10-F11</f>
        <v>156</v>
      </c>
      <c r="M5">
        <f>G10-G11</f>
        <v>185</v>
      </c>
    </row>
    <row r="6" spans="3:13" ht="13.5" thickBot="1" x14ac:dyDescent="0.25">
      <c r="C6" s="17" t="s">
        <v>8</v>
      </c>
      <c r="D6" s="19">
        <v>100000</v>
      </c>
      <c r="E6" s="19">
        <v>1000000</v>
      </c>
      <c r="F6" s="19">
        <v>100000</v>
      </c>
      <c r="G6" s="19">
        <v>1000000</v>
      </c>
    </row>
    <row r="7" spans="3:13" ht="13.5" thickBot="1" x14ac:dyDescent="0.25">
      <c r="C7" s="17" t="s">
        <v>9</v>
      </c>
      <c r="D7" s="20">
        <v>0.96</v>
      </c>
      <c r="E7" s="20">
        <v>0.94199999999999995</v>
      </c>
      <c r="F7" s="20">
        <v>0.85</v>
      </c>
      <c r="G7" s="20">
        <v>0.92930000000000001</v>
      </c>
    </row>
    <row r="8" spans="3:13" ht="13.5" thickBot="1" x14ac:dyDescent="0.25">
      <c r="C8" s="17" t="s">
        <v>10</v>
      </c>
      <c r="D8" s="20">
        <v>0.05</v>
      </c>
      <c r="E8" s="20">
        <v>4.7969999999999999E-2</v>
      </c>
      <c r="F8" s="20">
        <v>3.7499999999999999E-2</v>
      </c>
      <c r="G8" s="20">
        <v>5.45E-2</v>
      </c>
    </row>
    <row r="9" spans="3:13" ht="13.5" thickBot="1" x14ac:dyDescent="0.25">
      <c r="C9" s="17" t="s">
        <v>35</v>
      </c>
      <c r="D9" s="26">
        <f>(D7*D6*D5)</f>
        <v>960</v>
      </c>
      <c r="E9" s="26">
        <f>E7*E6*E5</f>
        <v>942000000</v>
      </c>
      <c r="F9" s="26">
        <f>F7*F6*F5</f>
        <v>85000000</v>
      </c>
      <c r="G9" s="26">
        <f>G7*G6*G5</f>
        <v>9293</v>
      </c>
    </row>
    <row r="10" spans="3:13" ht="13.5" thickBot="1" x14ac:dyDescent="0.25">
      <c r="C10" s="17" t="s">
        <v>1</v>
      </c>
      <c r="D10" s="21">
        <v>40792</v>
      </c>
      <c r="E10" s="21">
        <v>40945</v>
      </c>
      <c r="F10" s="21">
        <v>40872</v>
      </c>
      <c r="G10" s="21">
        <v>40994</v>
      </c>
    </row>
    <row r="11" spans="3:13" ht="13.5" thickBot="1" x14ac:dyDescent="0.25">
      <c r="C11" s="17" t="s">
        <v>2</v>
      </c>
      <c r="D11" s="21">
        <v>40709</v>
      </c>
      <c r="E11" s="21">
        <v>40812</v>
      </c>
      <c r="F11" s="21">
        <v>40716</v>
      </c>
      <c r="G11" s="21">
        <v>40809</v>
      </c>
    </row>
    <row r="12" spans="3:13" ht="13.5" thickBot="1" x14ac:dyDescent="0.25">
      <c r="C12" s="17" t="s">
        <v>3</v>
      </c>
      <c r="D12" s="21">
        <v>41075</v>
      </c>
      <c r="E12" s="21">
        <v>40812</v>
      </c>
      <c r="F12" s="21">
        <v>41082</v>
      </c>
      <c r="G12" s="21">
        <v>41175</v>
      </c>
    </row>
    <row r="13" spans="3:13" ht="13.5" thickBot="1" x14ac:dyDescent="0.25">
      <c r="C13" s="17" t="s">
        <v>4</v>
      </c>
      <c r="D13" s="21">
        <v>41075</v>
      </c>
      <c r="E13" s="21">
        <v>41543</v>
      </c>
      <c r="F13" s="21">
        <v>42273</v>
      </c>
      <c r="G13" s="21">
        <v>41540</v>
      </c>
    </row>
    <row r="14" spans="3:13" ht="13.5" thickBot="1" x14ac:dyDescent="0.25">
      <c r="C14" s="17" t="s">
        <v>5</v>
      </c>
      <c r="D14" s="22">
        <v>1</v>
      </c>
      <c r="E14" s="22">
        <v>2</v>
      </c>
      <c r="F14" s="22">
        <v>4</v>
      </c>
      <c r="G14" s="22">
        <v>2</v>
      </c>
    </row>
    <row r="15" spans="3:13" ht="13.5" thickBot="1" x14ac:dyDescent="0.25">
      <c r="D15" s="16"/>
      <c r="E15" s="16"/>
      <c r="F15" s="16"/>
      <c r="G15" s="16"/>
    </row>
    <row r="16" spans="3:13" ht="13.5" thickBot="1" x14ac:dyDescent="0.25">
      <c r="C16" s="17" t="s">
        <v>6</v>
      </c>
      <c r="D16" s="23">
        <f>(((D8*D5*D6))/366)*J5</f>
        <v>11.338797814207652</v>
      </c>
      <c r="E16" s="23">
        <f>(((E8*E5*E6))/365)*K5</f>
        <v>17479479.452054795</v>
      </c>
      <c r="F16" s="23">
        <f>(((F8*F5*F6))/365)*L5</f>
        <v>1602739.7260273974</v>
      </c>
      <c r="G16" s="23">
        <f>(((G8*G5*G6))/365)*M5</f>
        <v>276.23287671232879</v>
      </c>
    </row>
    <row r="17" spans="1:12" s="6" customFormat="1" ht="13.5" thickBo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13.5" thickBot="1" x14ac:dyDescent="0.25">
      <c r="C18" s="9" t="s">
        <v>11</v>
      </c>
      <c r="D18" s="23">
        <f>(0.002*D9)+2.5</f>
        <v>4.42</v>
      </c>
      <c r="E18" s="23">
        <f>(0.002*E9)+2.5</f>
        <v>1884002.5</v>
      </c>
      <c r="F18" s="23">
        <f>(0.002*F9)+2.5</f>
        <v>170002.5</v>
      </c>
      <c r="G18" s="23">
        <f>(0.002*G9)+2.5</f>
        <v>21.086000000000002</v>
      </c>
    </row>
    <row r="19" spans="1:12" ht="13.5" thickBot="1" x14ac:dyDescent="0.25">
      <c r="C19" s="9" t="s">
        <v>12</v>
      </c>
      <c r="D19" s="23">
        <f>0.002*D5*D6</f>
        <v>2</v>
      </c>
      <c r="E19" s="23">
        <f>0.002*E5*E6</f>
        <v>2000000</v>
      </c>
      <c r="F19" s="23">
        <f>0.002*F5*F6</f>
        <v>200000</v>
      </c>
      <c r="G19" s="23">
        <f>0.002*G5*G6</f>
        <v>20</v>
      </c>
    </row>
    <row r="20" spans="1:12" ht="13.5" thickBot="1" x14ac:dyDescent="0.25">
      <c r="C20" s="2"/>
      <c r="D20" s="5"/>
      <c r="E20" s="5"/>
      <c r="F20" s="5"/>
      <c r="G20" s="5"/>
    </row>
    <row r="21" spans="1:12" ht="13.5" thickBot="1" x14ac:dyDescent="0.25">
      <c r="C21" s="9" t="s">
        <v>13</v>
      </c>
      <c r="D21" s="24">
        <f>0.215*D16</f>
        <v>2.4378415300546452</v>
      </c>
      <c r="E21" s="24">
        <f>0.25*E16</f>
        <v>4369869.8630136987</v>
      </c>
      <c r="F21" s="24">
        <f>0.25*F16</f>
        <v>400684.93150684936</v>
      </c>
      <c r="G21" s="24">
        <f>0.25*G16</f>
        <v>69.058219178082197</v>
      </c>
    </row>
    <row r="22" spans="1:12" ht="13.5" thickBot="1" x14ac:dyDescent="0.25">
      <c r="C22" s="2"/>
      <c r="D22" s="7"/>
      <c r="E22" s="7"/>
      <c r="F22" s="7"/>
      <c r="G22" s="7"/>
    </row>
    <row r="23" spans="1:12" ht="13.5" thickBot="1" x14ac:dyDescent="0.25">
      <c r="C23" s="11" t="s">
        <v>18</v>
      </c>
      <c r="D23" s="25">
        <f>D8*D6*D5*0.25*D14</f>
        <v>12.5</v>
      </c>
      <c r="E23" s="25">
        <f>E8*E6*E5*0.25*E14</f>
        <v>23985000</v>
      </c>
      <c r="F23" s="25">
        <f>F8*F6*F5*0.25*F14</f>
        <v>3750000</v>
      </c>
      <c r="G23" s="25">
        <f>G8*G6*G5*0.25*G14</f>
        <v>272.5</v>
      </c>
    </row>
    <row r="24" spans="1:12" ht="13.5" thickBot="1" x14ac:dyDescent="0.25">
      <c r="C24" s="9" t="s">
        <v>15</v>
      </c>
      <c r="D24" s="23">
        <f t="shared" ref="D24:F24" si="0">D18*0.04</f>
        <v>0.17680000000000001</v>
      </c>
      <c r="E24" s="23">
        <f t="shared" si="0"/>
        <v>75360.100000000006</v>
      </c>
      <c r="F24" s="23">
        <f t="shared" si="0"/>
        <v>6800.1</v>
      </c>
      <c r="G24" s="23">
        <f t="shared" ref="G24" si="1">G18*0.04</f>
        <v>0.84344000000000008</v>
      </c>
    </row>
    <row r="25" spans="1:12" ht="13.5" thickBot="1" x14ac:dyDescent="0.25">
      <c r="C25" s="9" t="s">
        <v>41</v>
      </c>
      <c r="D25" s="23">
        <f>D19*0.25+D30*0.25</f>
        <v>0.625</v>
      </c>
      <c r="E25" s="23"/>
      <c r="F25" s="23"/>
      <c r="G25" s="23"/>
    </row>
    <row r="26" spans="1:12" ht="13.5" thickBot="1" x14ac:dyDescent="0.25">
      <c r="C26" s="9" t="s">
        <v>16</v>
      </c>
      <c r="D26" s="23">
        <f>D19*0.04</f>
        <v>0.08</v>
      </c>
      <c r="E26" s="23">
        <f>E19*0.04</f>
        <v>80000</v>
      </c>
      <c r="F26" s="23">
        <f>F19*0.04</f>
        <v>8000</v>
      </c>
      <c r="G26" s="23">
        <f t="shared" ref="G26" si="2">G19*0.04</f>
        <v>0.8</v>
      </c>
      <c r="I26" s="1"/>
    </row>
    <row r="27" spans="1:12" ht="13.5" thickBot="1" x14ac:dyDescent="0.25">
      <c r="C27" s="2"/>
      <c r="D27" s="1"/>
      <c r="E27" s="1"/>
      <c r="F27" s="1"/>
      <c r="G27" s="1"/>
      <c r="I27" s="1"/>
      <c r="J27" s="3"/>
    </row>
    <row r="28" spans="1:12" ht="13.5" thickBot="1" x14ac:dyDescent="0.25">
      <c r="C28" s="31" t="s">
        <v>19</v>
      </c>
      <c r="D28" s="31"/>
      <c r="E28" s="31"/>
      <c r="F28" s="28"/>
      <c r="G28" s="28"/>
      <c r="J28" s="3"/>
    </row>
    <row r="29" spans="1:12" ht="13.5" thickBot="1" x14ac:dyDescent="0.25">
      <c r="C29" s="9" t="s">
        <v>17</v>
      </c>
      <c r="D29" s="10">
        <f>D14*D8*D6*D5</f>
        <v>50</v>
      </c>
      <c r="E29" s="10">
        <f>E14*E8*E6*E5</f>
        <v>95940000</v>
      </c>
      <c r="F29" s="10">
        <f>F14*F8*F6*F5</f>
        <v>15000000</v>
      </c>
      <c r="G29" s="10">
        <f>G14*G8*G6*G5</f>
        <v>1090</v>
      </c>
      <c r="H29" s="1"/>
      <c r="J29" s="3"/>
    </row>
    <row r="30" spans="1:12" ht="13.5" thickBot="1" x14ac:dyDescent="0.25">
      <c r="C30" s="9" t="s">
        <v>20</v>
      </c>
      <c r="D30" s="10">
        <f>D29*0.01</f>
        <v>0.5</v>
      </c>
      <c r="E30" s="10">
        <f>E29*0.01</f>
        <v>959400</v>
      </c>
      <c r="F30" s="10">
        <f>F29*0.01</f>
        <v>150000</v>
      </c>
      <c r="G30" s="10">
        <f>G29*0.01</f>
        <v>10.9</v>
      </c>
      <c r="H30" s="1"/>
      <c r="J30" s="3"/>
    </row>
    <row r="31" spans="1:12" ht="13.5" thickBot="1" x14ac:dyDescent="0.25">
      <c r="C31" s="9" t="s">
        <v>21</v>
      </c>
      <c r="D31" s="10">
        <f>(D29*0.25)+(D30*0.04)</f>
        <v>12.52</v>
      </c>
      <c r="E31" s="10">
        <f>(E29*0.25)+(E30*0.04)</f>
        <v>24023376</v>
      </c>
      <c r="F31" s="10">
        <f>(F29*0.25)+(F30*0.04)</f>
        <v>3756000</v>
      </c>
      <c r="G31" s="10">
        <f>(G29*0.25)+(G30*0.04)</f>
        <v>272.93599999999998</v>
      </c>
      <c r="H31" s="1"/>
      <c r="J31" s="3"/>
    </row>
    <row r="32" spans="1:12" ht="13.5" thickBot="1" x14ac:dyDescent="0.25">
      <c r="C32" s="9" t="s">
        <v>38</v>
      </c>
      <c r="D32" s="10"/>
      <c r="E32" s="10">
        <f>(E29/E14)-(E30/E14)-(E31/E14)+E21-E16</f>
        <v>22369002.410958905</v>
      </c>
      <c r="F32" s="10">
        <f>(F29/F14)-(F30/F14)-(F31/F14)+F21-F16</f>
        <v>1571445.2054794519</v>
      </c>
      <c r="G32" s="10">
        <f>(G29/G14)-(G30/G14)-(G31/G14)+G21-G16</f>
        <v>195.9073424657534</v>
      </c>
      <c r="H32" s="1"/>
      <c r="J32" s="3"/>
    </row>
    <row r="33" spans="1:8" ht="13.5" thickBot="1" x14ac:dyDescent="0.25">
      <c r="C33" s="9" t="s">
        <v>23</v>
      </c>
      <c r="D33" s="10">
        <v>405.73</v>
      </c>
      <c r="E33" s="10">
        <f>((E29-E30-E31))/E14*(E14-1)</f>
        <v>35478612</v>
      </c>
      <c r="F33" s="10">
        <f>((F29-F30-F31))/F14*(F14-1)</f>
        <v>8320500</v>
      </c>
      <c r="G33" s="10">
        <f>((G29-G30-G31))/G14*(G14-1)</f>
        <v>403.08199999999999</v>
      </c>
      <c r="H33" s="1"/>
    </row>
    <row r="34" spans="1:8" ht="13.5" thickBot="1" x14ac:dyDescent="0.25">
      <c r="C34" s="12" t="s">
        <v>22</v>
      </c>
      <c r="D34" s="13">
        <f>D33+D21-D16</f>
        <v>396.82904371584698</v>
      </c>
      <c r="E34" s="13">
        <f>E33+E21-E16+E32</f>
        <v>44738004.82191781</v>
      </c>
      <c r="F34" s="13">
        <f>F33+F21-F16+F32</f>
        <v>8689890.4109589048</v>
      </c>
      <c r="G34" s="13">
        <f>G33+G21-G16+G32</f>
        <v>391.8146849315068</v>
      </c>
      <c r="H34" s="1"/>
    </row>
    <row r="35" spans="1:8" ht="13.5" thickBot="1" x14ac:dyDescent="0.25">
      <c r="C35" s="4"/>
      <c r="D35" s="1"/>
      <c r="E35" s="1"/>
      <c r="F35" s="1"/>
      <c r="G35" s="1"/>
    </row>
    <row r="36" spans="1:8" ht="13.5" thickBot="1" x14ac:dyDescent="0.25">
      <c r="C36" s="31" t="s">
        <v>25</v>
      </c>
      <c r="D36" s="31"/>
      <c r="E36" s="31"/>
      <c r="F36" s="28"/>
      <c r="G36" s="28"/>
    </row>
    <row r="37" spans="1:8" ht="13.5" thickBot="1" x14ac:dyDescent="0.25">
      <c r="C37" s="9" t="s">
        <v>14</v>
      </c>
      <c r="D37" s="10">
        <f>(D6*D5)-(D7*D6*D5)</f>
        <v>40</v>
      </c>
      <c r="E37" s="10">
        <f>(E6*E5)-(E7*E6*E5)</f>
        <v>58000000</v>
      </c>
      <c r="F37" s="10">
        <f>(F6*F5)-(F7*F6*F5)</f>
        <v>15000000</v>
      </c>
      <c r="G37" s="10">
        <f>(G6*G5)-(G7*G6*G5)</f>
        <v>707</v>
      </c>
    </row>
    <row r="38" spans="1:8" ht="13.5" thickBot="1" x14ac:dyDescent="0.25">
      <c r="C38" s="11" t="s">
        <v>27</v>
      </c>
      <c r="D38" s="10">
        <f>(D37*0.25)+D24+D26</f>
        <v>10.2568</v>
      </c>
      <c r="E38" s="10">
        <f>(E37*0.25)+E24+E26</f>
        <v>14655360.1</v>
      </c>
      <c r="F38" s="10">
        <f>(F37*0.25)+F24+F26</f>
        <v>3764800.1</v>
      </c>
      <c r="G38" s="10">
        <f>(G37*0.25)+G24+G26</f>
        <v>178.39344</v>
      </c>
    </row>
    <row r="39" spans="1:8" ht="13.5" thickBot="1" x14ac:dyDescent="0.25">
      <c r="A39">
        <f>10972.94+405.73</f>
        <v>11378.67</v>
      </c>
      <c r="C39" s="11" t="s">
        <v>26</v>
      </c>
      <c r="D39" s="10">
        <f>D18+D19</f>
        <v>6.42</v>
      </c>
      <c r="E39" s="10">
        <f>E18+E19</f>
        <v>3884002.5</v>
      </c>
      <c r="F39" s="10">
        <f>F18+F19</f>
        <v>370002.5</v>
      </c>
      <c r="G39" s="10">
        <f>G18+G19</f>
        <v>41.085999999999999</v>
      </c>
    </row>
    <row r="40" spans="1:8" ht="13.5" thickBot="1" x14ac:dyDescent="0.25">
      <c r="A40">
        <v>10682.47</v>
      </c>
      <c r="C40" s="12" t="s">
        <v>24</v>
      </c>
      <c r="D40" s="13">
        <f>D37-D38-D39-D25</f>
        <v>22.6982</v>
      </c>
      <c r="E40" s="13">
        <f>E37-E38-E39</f>
        <v>39460637.399999999</v>
      </c>
      <c r="F40" s="13">
        <f>F37-F38-F39</f>
        <v>10865197.4</v>
      </c>
      <c r="G40" s="13">
        <f>G37-G38-G39</f>
        <v>487.52055999999993</v>
      </c>
    </row>
    <row r="41" spans="1:8" ht="13.5" thickBot="1" x14ac:dyDescent="0.25">
      <c r="A41">
        <f>A39-A40</f>
        <v>696.20000000000073</v>
      </c>
      <c r="C41" s="2"/>
      <c r="D41" s="1"/>
      <c r="E41" s="1"/>
      <c r="F41" s="1"/>
      <c r="G41" s="1"/>
    </row>
    <row r="42" spans="1:8" ht="13.5" thickBot="1" x14ac:dyDescent="0.25">
      <c r="A42">
        <f>11000-10682.47</f>
        <v>317.53000000000065</v>
      </c>
      <c r="C42" s="31" t="s">
        <v>33</v>
      </c>
      <c r="D42" s="31"/>
      <c r="E42" s="31"/>
      <c r="F42" s="28"/>
      <c r="G42" s="28"/>
    </row>
    <row r="43" spans="1:8" ht="13.5" thickBot="1" x14ac:dyDescent="0.25">
      <c r="A43">
        <f>A42*0.25</f>
        <v>79.382500000000164</v>
      </c>
      <c r="C43" s="11" t="s">
        <v>28</v>
      </c>
      <c r="D43" s="13">
        <f>D34+D40</f>
        <v>419.52724371584696</v>
      </c>
      <c r="E43" s="13">
        <f>E34+E40</f>
        <v>84198642.221917808</v>
      </c>
      <c r="F43" s="13">
        <f>F34+F40</f>
        <v>19555087.810958907</v>
      </c>
      <c r="G43" s="13">
        <f>G34+G40</f>
        <v>879.33524493150674</v>
      </c>
    </row>
    <row r="44" spans="1:8" ht="13.5" thickBot="1" x14ac:dyDescent="0.25">
      <c r="A44">
        <f>696.2-A43</f>
        <v>616.81749999999988</v>
      </c>
      <c r="C44" s="11" t="s">
        <v>29</v>
      </c>
      <c r="D44" s="10">
        <f>D30+D39</f>
        <v>6.92</v>
      </c>
      <c r="E44" s="10">
        <f>E30+E39</f>
        <v>4843402.5</v>
      </c>
      <c r="F44" s="10">
        <f>F30+F39</f>
        <v>520002.5</v>
      </c>
      <c r="G44" s="10">
        <f>G30+G39</f>
        <v>51.985999999999997</v>
      </c>
    </row>
    <row r="45" spans="1:8" ht="13.5" thickBot="1" x14ac:dyDescent="0.25">
      <c r="C45" s="11" t="s">
        <v>30</v>
      </c>
      <c r="D45" s="10">
        <f>D31+D38-D21</f>
        <v>20.338958469945357</v>
      </c>
      <c r="E45" s="10">
        <f>E31+E38-E21</f>
        <v>34308866.236986302</v>
      </c>
      <c r="F45" s="10">
        <f>F31+F38-F21</f>
        <v>7120115.1684931498</v>
      </c>
      <c r="G45" s="10">
        <f>G31+G38-G21</f>
        <v>382.27122082191778</v>
      </c>
    </row>
    <row r="46" spans="1:8" ht="13.5" thickBot="1" x14ac:dyDescent="0.25">
      <c r="C46" s="11" t="s">
        <v>31</v>
      </c>
      <c r="D46" s="27">
        <f>(D34+D31+D40+D38-D21)/D9/D49</f>
        <v>0.60107164725209072</v>
      </c>
      <c r="E46" s="27">
        <f>(E34+E31+E40+E38-E21)/E9/E49</f>
        <v>7.8041217920686065E-2</v>
      </c>
      <c r="F46" s="27">
        <f>(F34+F31+F40+F38-F21)/F9/F49</f>
        <v>8.3171821701916379E-2</v>
      </c>
      <c r="G46" s="27">
        <f>(G34+G31+G40+G38-G21)/G9/G49</f>
        <v>9.2528339539473037E-2</v>
      </c>
    </row>
    <row r="47" spans="1:8" ht="13.5" thickBot="1" x14ac:dyDescent="0.25">
      <c r="C47" s="9" t="s">
        <v>32</v>
      </c>
      <c r="D47" s="14">
        <f>(D40+D34)/D9/D49</f>
        <v>0.57327871565113508</v>
      </c>
      <c r="E47" s="14">
        <f>(E40+E34)/E9/E49</f>
        <v>5.5447664639285181E-2</v>
      </c>
      <c r="F47" s="14">
        <f>(F40+F34)/F9/F49</f>
        <v>6.0971692625215831E-2</v>
      </c>
      <c r="G47" s="14">
        <f>(G40+G34)/G9/G49</f>
        <v>6.4491925430533004E-2</v>
      </c>
    </row>
    <row r="48" spans="1:8" ht="13.5" thickBot="1" x14ac:dyDescent="0.25"/>
    <row r="49" spans="2:7" ht="13.5" thickBot="1" x14ac:dyDescent="0.25">
      <c r="C49" s="9" t="s">
        <v>34</v>
      </c>
      <c r="D49" s="15">
        <f>DAYS360(D10,D13)/366</f>
        <v>0.76229508196721307</v>
      </c>
      <c r="E49" s="15">
        <f>DAYS360(E10,E13)/366</f>
        <v>1.6120218579234973</v>
      </c>
      <c r="F49" s="15">
        <f>DAYS360(F10,F13)/366</f>
        <v>3.7732240437158469</v>
      </c>
      <c r="G49" s="15">
        <f>DAYS360(G10,G13)/366</f>
        <v>1.4672131147540983</v>
      </c>
    </row>
    <row r="53" spans="2:7" x14ac:dyDescent="0.2">
      <c r="B53" t="e">
        <f>1500+500+7700+10682.47+#REF!</f>
        <v>#REF!</v>
      </c>
    </row>
  </sheetData>
  <mergeCells count="3">
    <mergeCell ref="C28:E28"/>
    <mergeCell ref="C36:E36"/>
    <mergeCell ref="C42:E42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OBRIGAÇÕES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Dinis</cp:lastModifiedBy>
  <cp:lastPrinted>2012-02-06T22:50:31Z</cp:lastPrinted>
  <dcterms:created xsi:type="dcterms:W3CDTF">2010-12-29T22:21:57Z</dcterms:created>
  <dcterms:modified xsi:type="dcterms:W3CDTF">2012-07-28T14:17:48Z</dcterms:modified>
</cp:coreProperties>
</file>